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660" tabRatio="795" firstSheet="1" activeTab="1"/>
  </bookViews>
  <sheets>
    <sheet name="Calcs" sheetId="1" state="hidden" r:id="rId1"/>
    <sheet name="Input" sheetId="2" r:id="rId2"/>
    <sheet name="Sheet1" sheetId="3" state="hidden" r:id="rId3"/>
  </sheets>
  <definedNames>
    <definedName name="anscount" hidden="1">1</definedName>
    <definedName name="Apparent_Alt">#REF!</definedName>
    <definedName name="D">#REF!</definedName>
    <definedName name="Dip">#REF!</definedName>
    <definedName name="Earth">#REF!</definedName>
    <definedName name="EL">#REF!</definedName>
    <definedName name="f">#REF!</definedName>
    <definedName name="GHA">#REF!</definedName>
    <definedName name="H__GMT">#REF!</definedName>
    <definedName name="Ha">#REF!</definedName>
    <definedName name="Hc">#REF!</definedName>
    <definedName name="Hc_rads">#REF!</definedName>
    <definedName name="Hs">#REF!</definedName>
    <definedName name="IE">#REF!</definedName>
    <definedName name="Jupiter">#REF!</definedName>
    <definedName name="LA">#REF!</definedName>
    <definedName name="LHA">#REF!</definedName>
    <definedName name="LO">#REF!</definedName>
    <definedName name="Luna">#REF!</definedName>
    <definedName name="M">#REF!</definedName>
    <definedName name="Mars">#REF!</definedName>
    <definedName name="mins">#REF!</definedName>
    <definedName name="Observed_Alt">#REF!</definedName>
    <definedName name="Parallax_Alt_PA">#REF!</definedName>
    <definedName name="PC_Time">#REF!</definedName>
    <definedName name="Pluto">#REF!</definedName>
    <definedName name="Refraction">#REF!</definedName>
    <definedName name="Ro">#REF!</definedName>
    <definedName name="SD">#REF!</definedName>
    <definedName name="secs">#REF!</definedName>
    <definedName name="Sext_Deg">#REF!</definedName>
    <definedName name="T">#REF!</definedName>
    <definedName name="TH">#REF!</definedName>
    <definedName name="U">#REF!</definedName>
    <definedName name="Venus">#REF!</definedName>
    <definedName name="Y">#REF!</definedName>
    <definedName name="Zn">#REF!</definedName>
    <definedName name="Zn__corrected">#REF!</definedName>
    <definedName name="Zn_rads">#REF!</definedName>
  </definedNames>
  <calcPr fullCalcOnLoad="1"/>
</workbook>
</file>

<file path=xl/sharedStrings.xml><?xml version="1.0" encoding="utf-8"?>
<sst xmlns="http://schemas.openxmlformats.org/spreadsheetml/2006/main" count="93" uniqueCount="93">
  <si>
    <t>TIME</t>
  </si>
  <si>
    <t>EQTRL</t>
  </si>
  <si>
    <t>HRZTL</t>
  </si>
  <si>
    <t>SEXTANT</t>
  </si>
  <si>
    <t>Universal Time U</t>
  </si>
  <si>
    <t>COS(RAD(EL))</t>
  </si>
  <si>
    <t>LA</t>
  </si>
  <si>
    <r>
      <t>Observed Alt</t>
    </r>
    <r>
      <rPr>
        <b/>
        <sz val="10"/>
        <rFont val="Arial"/>
        <family val="2"/>
      </rPr>
      <t xml:space="preserve"> Hs</t>
    </r>
    <r>
      <rPr>
        <sz val="10"/>
        <rFont val="Arial"/>
        <family val="2"/>
      </rPr>
      <t xml:space="preserve"> </t>
    </r>
  </si>
  <si>
    <t>Ephemeris Time T</t>
  </si>
  <si>
    <t>AL</t>
  </si>
  <si>
    <t>LO</t>
  </si>
  <si>
    <r>
      <t xml:space="preserve">Index Error </t>
    </r>
    <r>
      <rPr>
        <b/>
        <sz val="10"/>
        <rFont val="Arial"/>
        <family val="2"/>
      </rPr>
      <t>IE</t>
    </r>
  </si>
  <si>
    <t>CONSTANTS</t>
  </si>
  <si>
    <t>IF COS(AL)&lt;0 AL=</t>
  </si>
  <si>
    <t>LO'</t>
  </si>
  <si>
    <r>
      <t xml:space="preserve">Dip </t>
    </r>
    <r>
      <rPr>
        <b/>
        <sz val="10"/>
        <rFont val="Arial"/>
        <family val="2"/>
      </rPr>
      <t>D</t>
    </r>
  </si>
  <si>
    <t>Venu's mean anomaly. V</t>
  </si>
  <si>
    <t>Declination radians</t>
  </si>
  <si>
    <t>Hc rads</t>
  </si>
  <si>
    <r>
      <t xml:space="preserve">Apparent Altitude </t>
    </r>
    <r>
      <rPr>
        <b/>
        <sz val="10"/>
        <rFont val="Arial"/>
        <family val="2"/>
      </rPr>
      <t>Ha</t>
    </r>
  </si>
  <si>
    <t>Sun's mean anomaly. E</t>
  </si>
  <si>
    <t>Declination°</t>
  </si>
  <si>
    <t>Hc°</t>
  </si>
  <si>
    <t>Refraction at 10/1010</t>
  </si>
  <si>
    <t>Mar's mean anomaly. M</t>
  </si>
  <si>
    <t>L (post ecliptic)</t>
  </si>
  <si>
    <t>Zn rads</t>
  </si>
  <si>
    <t>P/T comp. factor</t>
  </si>
  <si>
    <t>Jupiter' mean anomaly. J</t>
  </si>
  <si>
    <t>TH (post ecliptic)</t>
  </si>
  <si>
    <t>Zn°</t>
  </si>
  <si>
    <t>Total Refraction</t>
  </si>
  <si>
    <t>Longitude Of Moon's ascending node. Th</t>
  </si>
  <si>
    <t>FirstPoint1</t>
  </si>
  <si>
    <t>Zn° corrected</t>
  </si>
  <si>
    <t>Sun's Parallax</t>
  </si>
  <si>
    <t>2xSun's mean Long. L</t>
  </si>
  <si>
    <t xml:space="preserve">GHA Aries </t>
  </si>
  <si>
    <t>LHA</t>
  </si>
  <si>
    <t>S</t>
  </si>
  <si>
    <t>Obliquity of the Ecliptic. P</t>
  </si>
  <si>
    <t>FirstPoint2</t>
  </si>
  <si>
    <t>LHA  -360's</t>
  </si>
  <si>
    <r>
      <t xml:space="preserve">Semi-Dia' </t>
    </r>
    <r>
      <rPr>
        <b/>
        <sz val="10"/>
        <rFont val="Arial"/>
        <family val="2"/>
      </rPr>
      <t>SD</t>
    </r>
  </si>
  <si>
    <t>ECLIPTIC</t>
  </si>
  <si>
    <t>GHA</t>
  </si>
  <si>
    <r>
      <t xml:space="preserve">True Observed Altitude </t>
    </r>
    <r>
      <rPr>
        <b/>
        <sz val="10"/>
        <rFont val="Arial"/>
        <family val="2"/>
      </rPr>
      <t>Ho</t>
    </r>
  </si>
  <si>
    <t>EL</t>
  </si>
  <si>
    <t>Altitude Difference (P)</t>
  </si>
  <si>
    <t>GHA =</t>
  </si>
  <si>
    <t>Difference, Miles</t>
  </si>
  <si>
    <t>Declination =</t>
  </si>
  <si>
    <t>Towards / Away</t>
  </si>
  <si>
    <t>LHA =</t>
  </si>
  <si>
    <t>Hc =</t>
  </si>
  <si>
    <t>Ho =</t>
  </si>
  <si>
    <t>DD/MM/YY</t>
  </si>
  <si>
    <t>Hour</t>
  </si>
  <si>
    <t>GMT / UCT</t>
  </si>
  <si>
    <t>Minutes</t>
  </si>
  <si>
    <t>Seconds</t>
  </si>
  <si>
    <t xml:space="preserve">GHA  </t>
  </si>
  <si>
    <t xml:space="preserve">Declination  </t>
  </si>
  <si>
    <t>Assumed Latitude°</t>
  </si>
  <si>
    <t>28S</t>
  </si>
  <si>
    <t>Degrees N or S</t>
  </si>
  <si>
    <t>Assumed Longitude°</t>
  </si>
  <si>
    <t>156E</t>
  </si>
  <si>
    <t>Degrees E or W</t>
  </si>
  <si>
    <t>Assumed Longitude'</t>
  </si>
  <si>
    <t>mm.dd</t>
  </si>
  <si>
    <t xml:space="preserve">LHA   </t>
  </si>
  <si>
    <t>Sextant Altitude°</t>
  </si>
  <si>
    <t>Degrees</t>
  </si>
  <si>
    <t>Sextant minutes'</t>
  </si>
  <si>
    <t>mm.ddd</t>
  </si>
  <si>
    <t>Index error mm.ddd</t>
  </si>
  <si>
    <r>
      <t>−</t>
    </r>
    <r>
      <rPr>
        <sz val="11"/>
        <rFont val="Arial"/>
        <family val="2"/>
      </rPr>
      <t>ON the arc  +OFF the arc</t>
    </r>
  </si>
  <si>
    <t>Limb observed</t>
  </si>
  <si>
    <t>1 Lower  −1 Upper  0 Centre</t>
  </si>
  <si>
    <r>
      <t>Height of eye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(m)</t>
    </r>
  </si>
  <si>
    <t>Enter 0 for Artificial Horizon</t>
  </si>
  <si>
    <t>Temperature</t>
  </si>
  <si>
    <t>DegC</t>
  </si>
  <si>
    <t>Barometric Pressure</t>
  </si>
  <si>
    <t>mBar</t>
  </si>
  <si>
    <t xml:space="preserve">Calculated Altitude° Hc  </t>
  </si>
  <si>
    <t xml:space="preserve">Observed Altitude° Ho  </t>
  </si>
  <si>
    <t>Azimuth</t>
  </si>
  <si>
    <t>True</t>
  </si>
  <si>
    <t>Intercept</t>
  </si>
  <si>
    <t xml:space="preserve"> </t>
  </si>
  <si>
    <t>www.backbearing.com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</si>
</sst>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dd"/>
    <numFmt numFmtId="177" formatCode="[$-C09]d\ mmmm\ yyyy;@"/>
    <numFmt numFmtId="178" formatCode="[$-F800]dddd\,\ mmmm\ dd\,\ yyyy"/>
    <numFmt numFmtId="179" formatCode="dd\-mmm"/>
    <numFmt numFmtId="180" formatCode="0.00000000"/>
    <numFmt numFmtId="181" formatCode="0.000000"/>
    <numFmt numFmtId="182" formatCode="0.0000000"/>
    <numFmt numFmtId="183" formatCode="0.0000"/>
  </numFmts>
  <fonts count="50">
    <font>
      <sz val="10"/>
      <name val="Arial"/>
      <family val="2"/>
    </font>
    <font>
      <sz val="11"/>
      <name val="Calibri"/>
      <family val="2"/>
    </font>
    <font>
      <sz val="11"/>
      <name val="Arial"/>
      <family val="2"/>
    </font>
    <font>
      <b/>
      <sz val="11"/>
      <name val="Calibri"/>
      <family val="2"/>
    </font>
    <font>
      <b/>
      <sz val="11"/>
      <name val="Arial"/>
      <family val="2"/>
    </font>
    <font>
      <b/>
      <sz val="12"/>
      <color indexed="30"/>
      <name val="Arial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u val="single"/>
      <sz val="8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1"/>
      <color indexed="57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b/>
      <sz val="18"/>
      <color indexed="57"/>
      <name val="Cambria"/>
      <family val="1"/>
    </font>
    <font>
      <sz val="10"/>
      <color indexed="19"/>
      <name val="Arial"/>
      <family val="2"/>
    </font>
    <font>
      <sz val="10"/>
      <color indexed="51"/>
      <name val="Arial"/>
      <family val="2"/>
    </font>
    <font>
      <b/>
      <sz val="10"/>
      <color indexed="63"/>
      <name val="Arial"/>
      <family val="2"/>
    </font>
    <font>
      <b/>
      <sz val="10"/>
      <color indexed="51"/>
      <name val="Arial"/>
      <family val="2"/>
    </font>
    <font>
      <b/>
      <sz val="15"/>
      <color indexed="57"/>
      <name val="Arial"/>
      <family val="2"/>
    </font>
    <font>
      <b/>
      <sz val="13"/>
      <color indexed="57"/>
      <name val="Arial"/>
      <family val="2"/>
    </font>
    <font>
      <b/>
      <sz val="10"/>
      <color indexed="9"/>
      <name val="Arial"/>
      <family val="2"/>
    </font>
    <font>
      <sz val="10"/>
      <color indexed="58"/>
      <name val="Arial"/>
      <family val="2"/>
    </font>
    <font>
      <sz val="10"/>
      <color indexed="62"/>
      <name val="Arial"/>
      <family val="2"/>
    </font>
    <font>
      <i/>
      <sz val="10"/>
      <color indexed="23"/>
      <name val="Arial"/>
      <family val="2"/>
    </font>
    <font>
      <sz val="10"/>
      <color indexed="16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3"/>
      <color theme="3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1"/>
    </font>
    <font>
      <i/>
      <sz val="10"/>
      <color rgb="FF7F7F7F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2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 style="medium">
        <color indexed="50"/>
      </left>
      <right style="medium">
        <color indexed="50"/>
      </right>
      <top style="medium">
        <color theme="1"/>
      </top>
      <bottom style="medium">
        <color indexed="50"/>
      </bottom>
    </border>
    <border>
      <left>
        <color indexed="63"/>
      </left>
      <right style="medium">
        <color theme="1"/>
      </right>
      <top style="medium">
        <color theme="1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medium">
        <color indexed="50"/>
      </left>
      <right style="medium">
        <color indexed="50"/>
      </right>
      <top style="medium">
        <color indexed="50"/>
      </top>
      <bottom style="medium">
        <color indexed="50"/>
      </bottom>
    </border>
    <border>
      <left>
        <color indexed="63"/>
      </left>
      <right style="medium">
        <color theme="1"/>
      </right>
      <top>
        <color indexed="63"/>
      </top>
      <bottom>
        <color indexed="63"/>
      </bottom>
    </border>
    <border>
      <left style="medium">
        <color indexed="50"/>
      </left>
      <right style="medium">
        <color indexed="50"/>
      </right>
      <top style="medium">
        <color indexed="50"/>
      </top>
      <bottom>
        <color indexed="63"/>
      </bottom>
    </border>
    <border>
      <left style="medium">
        <color theme="1"/>
      </left>
      <right>
        <color indexed="63"/>
      </right>
      <top style="thin">
        <color theme="1"/>
      </top>
      <bottom style="thin">
        <color theme="1"/>
      </bottom>
    </border>
    <border>
      <left style="medium">
        <color indexed="50"/>
      </left>
      <right style="medium">
        <color indexed="50"/>
      </right>
      <top style="thin">
        <color theme="1"/>
      </top>
      <bottom style="thin">
        <color theme="1"/>
      </bottom>
    </border>
    <border>
      <left>
        <color indexed="63"/>
      </left>
      <right style="medium">
        <color theme="1"/>
      </right>
      <top style="thin">
        <color theme="1"/>
      </top>
      <bottom style="thin">
        <color theme="1"/>
      </bottom>
    </border>
    <border>
      <left style="medium">
        <color indexed="50"/>
      </left>
      <right style="medium">
        <color indexed="50"/>
      </right>
      <top>
        <color indexed="63"/>
      </top>
      <bottom style="medium">
        <color indexed="50"/>
      </bottom>
    </border>
    <border>
      <left style="medium">
        <color theme="1"/>
      </left>
      <right>
        <color indexed="63"/>
      </right>
      <top style="thin"/>
      <bottom style="thin"/>
    </border>
    <border>
      <left style="medium">
        <color indexed="50"/>
      </left>
      <right style="medium">
        <color indexed="50"/>
      </right>
      <top style="thin"/>
      <bottom style="thin"/>
    </border>
    <border>
      <left>
        <color indexed="63"/>
      </left>
      <right style="medium">
        <color theme="1"/>
      </right>
      <top style="thin"/>
      <bottom style="thin"/>
    </border>
    <border>
      <left style="medium">
        <color theme="1"/>
      </left>
      <right>
        <color indexed="63"/>
      </right>
      <top>
        <color indexed="63"/>
      </top>
      <bottom style="thin">
        <color theme="1"/>
      </bottom>
    </border>
    <border>
      <left style="medium">
        <color indexed="50"/>
      </left>
      <right style="medium">
        <color indexed="50"/>
      </right>
      <top>
        <color indexed="63"/>
      </top>
      <bottom style="thin">
        <color theme="1"/>
      </bottom>
    </border>
    <border>
      <left>
        <color indexed="63"/>
      </left>
      <right style="medium">
        <color theme="1"/>
      </right>
      <top>
        <color indexed="63"/>
      </top>
      <bottom style="thin">
        <color theme="1"/>
      </bottom>
    </border>
    <border>
      <left style="medium">
        <color theme="1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 style="medium">
        <color theme="1"/>
      </right>
      <top>
        <color indexed="63"/>
      </top>
      <bottom style="medium">
        <color theme="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ck">
        <color theme="1"/>
      </right>
      <top style="thick">
        <color theme="1"/>
      </top>
      <bottom>
        <color indexed="63"/>
      </bottom>
    </border>
    <border>
      <left style="thick">
        <color theme="1"/>
      </left>
      <right>
        <color indexed="63"/>
      </right>
      <top style="thick">
        <color theme="1"/>
      </top>
      <bottom>
        <color indexed="63"/>
      </bottom>
    </border>
    <border>
      <left style="thick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1"/>
      </right>
      <top>
        <color indexed="63"/>
      </top>
      <bottom>
        <color indexed="63"/>
      </bottom>
    </border>
    <border>
      <left style="thick">
        <color theme="1"/>
      </left>
      <right>
        <color indexed="63"/>
      </right>
      <top>
        <color indexed="63"/>
      </top>
      <bottom style="thick">
        <color theme="1"/>
      </bottom>
    </border>
    <border>
      <left>
        <color indexed="63"/>
      </left>
      <right style="thick">
        <color theme="1"/>
      </right>
      <top>
        <color indexed="63"/>
      </top>
      <bottom style="thick">
        <color theme="1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4" fillId="4" borderId="1" applyNumberFormat="0" applyAlignment="0" applyProtection="0"/>
    <xf numFmtId="0" fontId="35" fillId="0" borderId="2" applyNumberFormat="0" applyFill="0" applyAlignment="0" applyProtection="0"/>
    <xf numFmtId="0" fontId="0" fillId="5" borderId="3" applyNumberFormat="0" applyFont="0" applyAlignment="0" applyProtection="0"/>
    <xf numFmtId="0" fontId="32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8" borderId="6" applyNumberFormat="0" applyAlignment="0" applyProtection="0"/>
    <xf numFmtId="0" fontId="33" fillId="9" borderId="0" applyNumberFormat="0" applyBorder="0" applyAlignment="0" applyProtection="0"/>
    <xf numFmtId="0" fontId="42" fillId="10" borderId="0" applyNumberFormat="0" applyBorder="0" applyAlignment="0" applyProtection="0"/>
    <xf numFmtId="0" fontId="43" fillId="11" borderId="7" applyNumberFormat="0" applyAlignment="0" applyProtection="0"/>
    <xf numFmtId="0" fontId="32" fillId="12" borderId="0" applyNumberFormat="0" applyBorder="0" applyAlignment="0" applyProtection="0"/>
    <xf numFmtId="0" fontId="44" fillId="11" borderId="6" applyNumberForma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33" fillId="15" borderId="0" applyNumberFormat="0" applyBorder="0" applyAlignment="0" applyProtection="0"/>
    <xf numFmtId="0" fontId="32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176" fontId="2" fillId="0" borderId="10" xfId="0" applyNumberFormat="1" applyFont="1" applyBorder="1" applyAlignment="1" applyProtection="1">
      <alignment horizontal="center" vertical="center"/>
      <protection/>
    </xf>
    <xf numFmtId="177" fontId="2" fillId="0" borderId="11" xfId="0" applyNumberFormat="1" applyFont="1" applyBorder="1" applyAlignment="1" applyProtection="1">
      <alignment horizontal="center" vertical="center"/>
      <protection locked="0"/>
    </xf>
    <xf numFmtId="178" fontId="2" fillId="0" borderId="12" xfId="0" applyNumberFormat="1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horizontal="center" vertical="center"/>
      <protection/>
    </xf>
    <xf numFmtId="0" fontId="2" fillId="33" borderId="19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34" borderId="20" xfId="0" applyFont="1" applyFill="1" applyBorder="1" applyAlignment="1" applyProtection="1">
      <alignment horizontal="center" vertical="center"/>
      <protection locked="0"/>
    </xf>
    <xf numFmtId="0" fontId="2" fillId="34" borderId="16" xfId="0" applyFont="1" applyFill="1" applyBorder="1" applyAlignment="1" applyProtection="1">
      <alignment horizontal="center" vertical="center"/>
      <protection locked="0"/>
    </xf>
    <xf numFmtId="0" fontId="2" fillId="35" borderId="21" xfId="0" applyFont="1" applyFill="1" applyBorder="1" applyAlignment="1" applyProtection="1">
      <alignment horizontal="center" vertical="center"/>
      <protection/>
    </xf>
    <xf numFmtId="2" fontId="2" fillId="35" borderId="22" xfId="0" applyNumberFormat="1" applyFont="1" applyFill="1" applyBorder="1" applyAlignment="1" applyProtection="1">
      <alignment horizontal="center" vertical="center"/>
      <protection/>
    </xf>
    <xf numFmtId="0" fontId="2" fillId="35" borderId="23" xfId="0" applyFont="1" applyFill="1" applyBorder="1" applyAlignment="1" applyProtection="1">
      <alignment horizontal="center" vertical="center"/>
      <protection/>
    </xf>
    <xf numFmtId="0" fontId="2" fillId="33" borderId="24" xfId="0" applyFont="1" applyFill="1" applyBorder="1" applyAlignment="1" applyProtection="1">
      <alignment horizontal="center" vertical="center"/>
      <protection/>
    </xf>
    <xf numFmtId="2" fontId="2" fillId="33" borderId="25" xfId="0" applyNumberFormat="1" applyFont="1" applyFill="1" applyBorder="1" applyAlignment="1" applyProtection="1">
      <alignment horizontal="center" vertical="center"/>
      <protection/>
    </xf>
    <xf numFmtId="0" fontId="2" fillId="33" borderId="26" xfId="0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Border="1" applyAlignment="1" applyProtection="1">
      <alignment horizontal="center" vertical="center"/>
      <protection locked="0"/>
    </xf>
    <xf numFmtId="2" fontId="2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/>
    </xf>
    <xf numFmtId="1" fontId="2" fillId="0" borderId="14" xfId="0" applyNumberFormat="1" applyFont="1" applyBorder="1" applyAlignment="1" applyProtection="1">
      <alignment horizontal="center" vertical="center"/>
      <protection locked="0"/>
    </xf>
    <xf numFmtId="2" fontId="2" fillId="33" borderId="18" xfId="0" applyNumberFormat="1" applyFont="1" applyFill="1" applyBorder="1" applyAlignment="1" applyProtection="1">
      <alignment horizontal="center" vertical="center"/>
      <protection/>
    </xf>
    <xf numFmtId="179" fontId="2" fillId="33" borderId="18" xfId="0" applyNumberFormat="1" applyFont="1" applyFill="1" applyBorder="1" applyAlignment="1" applyProtection="1">
      <alignment horizontal="center" vertical="center"/>
      <protection/>
    </xf>
    <xf numFmtId="0" fontId="49" fillId="0" borderId="13" xfId="0" applyFont="1" applyBorder="1" applyAlignment="1" applyProtection="1">
      <alignment horizontal="right" vertical="center"/>
      <protection/>
    </xf>
    <xf numFmtId="0" fontId="49" fillId="0" borderId="0" xfId="0" applyFont="1" applyBorder="1" applyAlignment="1" applyProtection="1">
      <alignment horizontal="center" vertical="center"/>
      <protection/>
    </xf>
    <xf numFmtId="0" fontId="49" fillId="0" borderId="15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49" fillId="0" borderId="27" xfId="0" applyFont="1" applyBorder="1" applyAlignment="1" applyProtection="1">
      <alignment horizontal="right" vertical="center"/>
      <protection/>
    </xf>
    <xf numFmtId="0" fontId="49" fillId="0" borderId="28" xfId="0" applyFont="1" applyBorder="1" applyAlignment="1" applyProtection="1">
      <alignment horizontal="center" vertical="center"/>
      <protection/>
    </xf>
    <xf numFmtId="0" fontId="49" fillId="0" borderId="29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right"/>
      <protection/>
    </xf>
    <xf numFmtId="0" fontId="8" fillId="0" borderId="0" xfId="21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10" fillId="0" borderId="30" xfId="0" applyFont="1" applyBorder="1" applyAlignment="1" applyProtection="1">
      <alignment horizontal="center" vertical="center"/>
      <protection/>
    </xf>
    <xf numFmtId="0" fontId="10" fillId="0" borderId="31" xfId="0" applyFont="1" applyBorder="1" applyAlignment="1" applyProtection="1">
      <alignment horizontal="center" vertical="center"/>
      <protection/>
    </xf>
    <xf numFmtId="0" fontId="11" fillId="0" borderId="30" xfId="0" applyFont="1" applyBorder="1" applyAlignment="1" applyProtection="1">
      <alignment horizontal="center" vertical="center"/>
      <protection/>
    </xf>
    <xf numFmtId="0" fontId="11" fillId="0" borderId="31" xfId="0" applyFont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vertical="center"/>
      <protection/>
    </xf>
    <xf numFmtId="180" fontId="0" fillId="0" borderId="33" xfId="0" applyNumberFormat="1" applyBorder="1" applyAlignment="1" applyProtection="1">
      <alignment vertical="center"/>
      <protection/>
    </xf>
    <xf numFmtId="0" fontId="12" fillId="0" borderId="32" xfId="0" applyFont="1" applyBorder="1" applyAlignment="1" applyProtection="1">
      <alignment vertical="center"/>
      <protection/>
    </xf>
    <xf numFmtId="180" fontId="12" fillId="0" borderId="33" xfId="0" applyNumberFormat="1" applyFont="1" applyBorder="1" applyAlignment="1" applyProtection="1">
      <alignment vertical="center"/>
      <protection/>
    </xf>
    <xf numFmtId="181" fontId="0" fillId="0" borderId="33" xfId="0" applyNumberForma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180" fontId="0" fillId="0" borderId="35" xfId="0" applyNumberFormat="1" applyBorder="1" applyAlignment="1" applyProtection="1">
      <alignment vertical="center"/>
      <protection/>
    </xf>
    <xf numFmtId="0" fontId="10" fillId="0" borderId="36" xfId="0" applyFont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180" fontId="0" fillId="0" borderId="0" xfId="0" applyNumberFormat="1" applyAlignment="1" applyProtection="1">
      <alignment vertical="center"/>
      <protection/>
    </xf>
    <xf numFmtId="0" fontId="0" fillId="0" borderId="32" xfId="0" applyBorder="1" applyAlignment="1" applyProtection="1">
      <alignment/>
      <protection/>
    </xf>
    <xf numFmtId="0" fontId="32" fillId="0" borderId="32" xfId="0" applyFont="1" applyBorder="1" applyAlignment="1" applyProtection="1">
      <alignment vertical="center"/>
      <protection/>
    </xf>
    <xf numFmtId="180" fontId="32" fillId="0" borderId="33" xfId="0" applyNumberFormat="1" applyFont="1" applyBorder="1" applyAlignment="1" applyProtection="1">
      <alignment vertical="center"/>
      <protection/>
    </xf>
    <xf numFmtId="0" fontId="0" fillId="0" borderId="32" xfId="0" applyBorder="1" applyAlignment="1" applyProtection="1">
      <alignment wrapText="1"/>
      <protection/>
    </xf>
    <xf numFmtId="0" fontId="0" fillId="0" borderId="34" xfId="0" applyBorder="1" applyAlignment="1" applyProtection="1">
      <alignment/>
      <protection/>
    </xf>
    <xf numFmtId="0" fontId="32" fillId="0" borderId="34" xfId="0" applyFont="1" applyBorder="1" applyAlignment="1" applyProtection="1">
      <alignment vertical="center"/>
      <protection/>
    </xf>
    <xf numFmtId="180" fontId="32" fillId="0" borderId="35" xfId="0" applyNumberFormat="1" applyFont="1" applyBorder="1" applyAlignment="1" applyProtection="1">
      <alignment vertical="center"/>
      <protection/>
    </xf>
    <xf numFmtId="0" fontId="13" fillId="0" borderId="34" xfId="0" applyFont="1" applyBorder="1" applyAlignment="1" applyProtection="1">
      <alignment vertical="center"/>
      <protection/>
    </xf>
    <xf numFmtId="182" fontId="0" fillId="0" borderId="38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39" xfId="0" applyBorder="1" applyAlignment="1" applyProtection="1">
      <alignment vertical="center"/>
      <protection/>
    </xf>
    <xf numFmtId="180" fontId="0" fillId="0" borderId="40" xfId="0" applyNumberFormat="1" applyBorder="1" applyAlignment="1" applyProtection="1">
      <alignment vertical="center"/>
      <protection/>
    </xf>
    <xf numFmtId="0" fontId="7" fillId="0" borderId="15" xfId="0" applyFont="1" applyBorder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0" fillId="0" borderId="41" xfId="0" applyFont="1" applyBorder="1" applyAlignment="1" applyProtection="1">
      <alignment vertical="center"/>
      <protection/>
    </xf>
    <xf numFmtId="0" fontId="10" fillId="0" borderId="42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0" fillId="0" borderId="43" xfId="0" applyFont="1" applyBorder="1" applyAlignment="1" applyProtection="1">
      <alignment horizontal="center" vertical="center"/>
      <protection/>
    </xf>
    <xf numFmtId="0" fontId="10" fillId="0" borderId="44" xfId="0" applyFont="1" applyBorder="1" applyAlignment="1" applyProtection="1">
      <alignment vertical="center"/>
      <protection/>
    </xf>
    <xf numFmtId="0" fontId="14" fillId="0" borderId="15" xfId="0" applyFont="1" applyBorder="1" applyAlignment="1" applyProtection="1">
      <alignment vertical="center"/>
      <protection/>
    </xf>
    <xf numFmtId="0" fontId="0" fillId="0" borderId="38" xfId="0" applyBorder="1" applyAlignment="1" applyProtection="1">
      <alignment vertical="center"/>
      <protection/>
    </xf>
    <xf numFmtId="1" fontId="10" fillId="0" borderId="0" xfId="0" applyNumberFormat="1" applyFont="1" applyAlignment="1" applyProtection="1">
      <alignment horizontal="center" vertical="center"/>
      <protection/>
    </xf>
    <xf numFmtId="2" fontId="0" fillId="0" borderId="0" xfId="0" applyNumberFormat="1" applyAlignment="1" applyProtection="1">
      <alignment vertical="center"/>
      <protection/>
    </xf>
    <xf numFmtId="0" fontId="10" fillId="0" borderId="45" xfId="0" applyFont="1" applyBorder="1" applyAlignment="1" applyProtection="1">
      <alignment horizontal="center" vertical="center"/>
      <protection/>
    </xf>
    <xf numFmtId="0" fontId="10" fillId="0" borderId="46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1" fontId="10" fillId="0" borderId="0" xfId="0" applyNumberFormat="1" applyFont="1" applyAlignment="1" applyProtection="1">
      <alignment vertical="center"/>
      <protection/>
    </xf>
    <xf numFmtId="1" fontId="9" fillId="0" borderId="0" xfId="0" applyNumberFormat="1" applyFont="1" applyAlignment="1" applyProtection="1">
      <alignment horizontal="center" vertical="center"/>
      <protection/>
    </xf>
    <xf numFmtId="1" fontId="0" fillId="0" borderId="0" xfId="0" applyNumberFormat="1" applyAlignment="1" applyProtection="1">
      <alignment vertical="center"/>
      <protection/>
    </xf>
    <xf numFmtId="183" fontId="0" fillId="0" borderId="0" xfId="0" applyNumberFormat="1" applyAlignment="1" applyProtection="1">
      <alignment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180" fontId="0" fillId="0" borderId="33" xfId="0" applyNumberFormat="1" applyBorder="1" applyAlignment="1" applyProtection="1">
      <alignment/>
      <protection/>
    </xf>
    <xf numFmtId="0" fontId="0" fillId="0" borderId="33" xfId="0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182" fontId="9" fillId="0" borderId="0" xfId="0" applyNumberFormat="1" applyFont="1" applyAlignment="1" applyProtection="1">
      <alignment vertical="center"/>
      <protection/>
    </xf>
    <xf numFmtId="0" fontId="4" fillId="0" borderId="15" xfId="0" applyFont="1" applyBorder="1" applyAlignment="1" applyProtection="1" quotePrefix="1">
      <alignment horizontal="center" vertical="center"/>
      <protection/>
    </xf>
    <xf numFmtId="0" fontId="49" fillId="0" borderId="15" xfId="0" applyFont="1" applyBorder="1" applyAlignment="1" applyProtection="1" quotePrefix="1">
      <alignment horizontal="left" vertical="center"/>
      <protection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Hyperlink" xfId="21"/>
    <cellStyle name="60% - Accent4" xfId="22"/>
    <cellStyle name="Followed Hyperlink" xfId="23"/>
    <cellStyle name="Check Cell" xfId="24"/>
    <cellStyle name="Heading 2" xfId="25"/>
    <cellStyle name="Note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dxfs count="2">
    <dxf>
      <font>
        <b val="0"/>
        <color rgb="FF000080"/>
      </font>
      <border/>
    </dxf>
    <dxf>
      <fill>
        <patternFill patternType="none">
          <fgColor indexed="64"/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ckbearing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2"/>
  <sheetViews>
    <sheetView workbookViewId="0" topLeftCell="A1">
      <selection activeCell="F16" sqref="F16"/>
    </sheetView>
  </sheetViews>
  <sheetFormatPr defaultColWidth="8.7109375" defaultRowHeight="12.75"/>
  <cols>
    <col min="1" max="1" width="1.28515625" style="3" customWidth="1"/>
    <col min="2" max="2" width="22.140625" style="3" customWidth="1"/>
    <col min="3" max="3" width="14.7109375" style="3" customWidth="1"/>
    <col min="4" max="4" width="16.7109375" style="3" customWidth="1"/>
    <col min="5" max="5" width="14.421875" style="3" customWidth="1"/>
    <col min="6" max="6" width="12.140625" style="3" customWidth="1"/>
    <col min="7" max="7" width="13.421875" style="3" customWidth="1"/>
    <col min="8" max="8" width="22.7109375" style="3" customWidth="1"/>
    <col min="9" max="9" width="11.7109375" style="3" customWidth="1"/>
    <col min="10" max="10" width="12.140625" style="3" customWidth="1"/>
    <col min="11" max="16384" width="9.140625" style="3" bestFit="1" customWidth="1"/>
  </cols>
  <sheetData>
    <row r="1" spans="2:9" ht="15.75" customHeight="1">
      <c r="B1" s="43" t="s">
        <v>0</v>
      </c>
      <c r="C1" s="44"/>
      <c r="D1" s="45" t="s">
        <v>1</v>
      </c>
      <c r="E1" s="46"/>
      <c r="F1" s="43" t="s">
        <v>2</v>
      </c>
      <c r="G1" s="44"/>
      <c r="H1" s="43" t="s">
        <v>3</v>
      </c>
      <c r="I1" s="44"/>
    </row>
    <row r="2" spans="2:9" ht="14.25" customHeight="1">
      <c r="B2" s="47" t="s">
        <v>4</v>
      </c>
      <c r="C2" s="48">
        <f>(367*YEAR(Input!B1)-INT(7*(YEAR(Input!B1)+INT((MONTH(Input!B1)+9)/12))/4)+INT(275*MONTH(Input!B1)/9)+DAY(Input!B1)+(Input!B2+(Input!B3+Input!B4/60)/60)/24-730531.5)/36525</f>
        <v>0.22999135865845183</v>
      </c>
      <c r="D2" s="49" t="s">
        <v>5</v>
      </c>
      <c r="E2" s="50">
        <f>COS(RADIANS(C13))</f>
        <v>0.1773708167531139</v>
      </c>
      <c r="F2" s="47" t="s">
        <v>6</v>
      </c>
      <c r="G2" s="51">
        <f>IF(LEN(Input!B7)=2,IF(RIGHT(Input!B7,1)="N",LEFT(Input!B7,1),IF(RIGHT(Input!B7,1)="S",-LEFT(Input!B7,1),0)),IF(LEN(Input!B7)=3,IF(RIGHT(Input!B7,1)="N",LEFT(Input!B7,2),IF(RIGHT(Input!B7,1)="S",-LEFT(Input!B7,2),0))))</f>
        <v>-28</v>
      </c>
      <c r="H2" s="52" t="s">
        <v>7</v>
      </c>
      <c r="I2" s="48">
        <f>Input!B11+(Input!B12/60)</f>
        <v>46.38333333333333</v>
      </c>
    </row>
    <row r="3" spans="2:9" ht="15.75" customHeight="1">
      <c r="B3" s="53" t="s">
        <v>8</v>
      </c>
      <c r="C3" s="54">
        <f>C2+(63+60*C2)/3200000000</f>
        <v>0.2299913826582898</v>
      </c>
      <c r="D3" s="49" t="s">
        <v>9</v>
      </c>
      <c r="E3" s="50">
        <f>DEGREES(ATAN(TAN(RADIANS(C13))*COS(RADIANS(C11))))</f>
        <v>-78.88652671132378</v>
      </c>
      <c r="F3" s="47" t="s">
        <v>10</v>
      </c>
      <c r="G3" s="48">
        <f>IF(LEN(Input!B8)=2,IF(RIGHT(Input!B8,1)="W",-LEFT(Input!B8,1)-G4,IF(RIGHT(Input!B8,1)="E",LEFT(Input!B8,1)+G4)),IF(LEN(Input!B8)=3,IF(RIGHT(Input!B8,1)="W",-LEFT(Input!B8,2)-G4,IF(RIGHT(Input!B8,1)="E",LEFT(Input!B8,2)+G4)),IF(LEN(Input!B8)=4,IF(RIGHT(Input!B8,1)="W",-LEFT(Input!B8,3)-G4,IF(RIGHT(Input!B8,1)="E",LEFT(Input!B8,3)+G4)))))</f>
        <v>156.41452904687822</v>
      </c>
      <c r="H3" s="47" t="s">
        <v>11</v>
      </c>
      <c r="I3" s="48">
        <f>Input!B13/60</f>
        <v>0</v>
      </c>
    </row>
    <row r="4" spans="2:9" ht="18" customHeight="1">
      <c r="B4" s="55" t="s">
        <v>12</v>
      </c>
      <c r="C4" s="56"/>
      <c r="D4" s="49" t="s">
        <v>13</v>
      </c>
      <c r="E4" s="50">
        <f>IF(E2&lt;0,E3+180,E3)</f>
        <v>-78.88652671132378</v>
      </c>
      <c r="F4" s="57" t="s">
        <v>14</v>
      </c>
      <c r="G4" s="58">
        <f>IF(RIGHT(Input!B8,1)="W",E12-INT(E12),IF(RIGHT(Input!B8,1)="E",ROUNDUP(E12,0)-E12))</f>
        <v>0.414529046878215</v>
      </c>
      <c r="H4" s="47" t="s">
        <v>15</v>
      </c>
      <c r="I4" s="48">
        <f>-(1.76*SQRT(Input!B15)/60)</f>
        <v>-0.05080682368868707</v>
      </c>
    </row>
    <row r="5" spans="2:9" ht="17.25" customHeight="1">
      <c r="B5" s="59" t="s">
        <v>16</v>
      </c>
      <c r="C5" s="48">
        <f>MOD(50+(58517*C3),360)</f>
        <v>188.40573901514472</v>
      </c>
      <c r="D5" s="49" t="s">
        <v>17</v>
      </c>
      <c r="E5" s="50">
        <f>SIN(RADIANS(C13))*SIN(RADIANS(C11))</f>
        <v>-0.39145136909304545</v>
      </c>
      <c r="F5" s="47" t="s">
        <v>18</v>
      </c>
      <c r="G5" s="48">
        <f>ASIN((SIN(RADIANS(G2))*SIN(RADIANS(E6)))+(COS(RADIANS(G2))*COS(RADIANS(E6))*COS(RADIANS(G10))))</f>
        <v>0.8145770043156579</v>
      </c>
      <c r="H5" s="52" t="s">
        <v>19</v>
      </c>
      <c r="I5" s="48">
        <f>IF(Input!B15=0,(I2+I3)/2,I2+I3+I4)</f>
        <v>46.332526509644644</v>
      </c>
    </row>
    <row r="6" spans="2:9" ht="16.5" customHeight="1">
      <c r="B6" s="59" t="s">
        <v>20</v>
      </c>
      <c r="C6" s="48">
        <f>MOD(357.52558+(35999.04974*C3),360)</f>
        <v>356.9968040871481</v>
      </c>
      <c r="D6" s="60" t="s">
        <v>21</v>
      </c>
      <c r="E6" s="61">
        <f>DEGREES(ATAN(E5/SQRT(1-POWER(E5,2))))</f>
        <v>-23.04483801041883</v>
      </c>
      <c r="F6" s="47" t="s">
        <v>22</v>
      </c>
      <c r="G6" s="48">
        <f>DEGREES(G5)</f>
        <v>46.67182443569705</v>
      </c>
      <c r="H6" s="52" t="s">
        <v>23</v>
      </c>
      <c r="I6" s="48">
        <f>-0.0167/(TAN(RADIANS(I5+7.31/(I5+4.4))))</f>
        <v>-0.01586066707747821</v>
      </c>
    </row>
    <row r="7" spans="2:9" ht="18" customHeight="1">
      <c r="B7" s="59" t="s">
        <v>24</v>
      </c>
      <c r="C7" s="48">
        <f>MOD(20+(19140*C3),360)</f>
        <v>102.03506407966688</v>
      </c>
      <c r="D7" s="49" t="s">
        <v>25</v>
      </c>
      <c r="E7" s="50">
        <f>0.0000009*SIN(RADIANS(C10))</f>
        <v>-3.1769438666779544E-07</v>
      </c>
      <c r="F7" s="47" t="s">
        <v>26</v>
      </c>
      <c r="G7" s="48">
        <f>(SIN(RADIANS(E6))-SIN(RADIANS(G2))*SIN(RADIANS(G6)))/COS(RADIANS(G2))/COS(RADIANS(G6))</f>
        <v>-0.08243047466734806</v>
      </c>
      <c r="H7" s="47" t="s">
        <v>27</v>
      </c>
      <c r="I7" s="48">
        <f>(Input!B17/1010)*283/(273+Input!B16)</f>
        <v>0.9483625285605484</v>
      </c>
    </row>
    <row r="8" spans="2:9" ht="14.25" customHeight="1">
      <c r="B8" s="59" t="s">
        <v>28</v>
      </c>
      <c r="C8" s="48">
        <f>MOD(19.9+(3034.6*C3),360)</f>
        <v>357.83184981484624</v>
      </c>
      <c r="D8" s="49" t="s">
        <v>29</v>
      </c>
      <c r="E8" s="50">
        <f>0.0000122*SIN(RADIANS(C9))</f>
        <v>7.87030025309122E-06</v>
      </c>
      <c r="F8" s="47" t="s">
        <v>30</v>
      </c>
      <c r="G8" s="48">
        <f>DEGREES(ATAN(SQRT(1-POWER(G7,2))/G7))</f>
        <v>-85.27171674360531</v>
      </c>
      <c r="H8" s="52" t="s">
        <v>31</v>
      </c>
      <c r="I8" s="48">
        <f>I6*I7</f>
        <v>-0.015041662334254278</v>
      </c>
    </row>
    <row r="9" spans="2:9" ht="24.75" customHeight="1">
      <c r="B9" s="62" t="s">
        <v>32</v>
      </c>
      <c r="C9" s="48">
        <f>MOD(125-(1934.1*C3),360)</f>
        <v>40.17366680060172</v>
      </c>
      <c r="D9" s="49" t="s">
        <v>33</v>
      </c>
      <c r="E9" s="50">
        <f>0.7790573+36625.002139*C2+(0.0000011*POWER(C2,2))-E8-E7-INT(0.7790573+36625.002139*C2+(0.0000011*POWER(C2,2))-E8-E7)</f>
        <v>0.21305262289388338</v>
      </c>
      <c r="F9" s="47" t="s">
        <v>34</v>
      </c>
      <c r="G9" s="48">
        <f>IF(AND(G7&gt;0,SIN(RADIANS(E12+G3))&gt;=0),360-G8,IF(AND(G7&lt;=0,SIN(RADIANS(E12+G3))&lt;0),180+G8,IF(AND(G7&lt;0,SIN(RADIANS(E12+G3))&gt;0),180-G8,G8)))</f>
        <v>94.72828325639469</v>
      </c>
      <c r="H9" s="52" t="s">
        <v>35</v>
      </c>
      <c r="I9" s="48">
        <f>0.0024*COS(RADIANS(I5))</f>
        <v>0.0016571325003914541</v>
      </c>
    </row>
    <row r="10" spans="2:9" ht="17.25" customHeight="1">
      <c r="B10" s="59" t="s">
        <v>36</v>
      </c>
      <c r="C10" s="48">
        <f>MOD(200.9+(72001.7*C3),360)</f>
        <v>200.67053674738418</v>
      </c>
      <c r="D10" s="49" t="s">
        <v>37</v>
      </c>
      <c r="E10" s="50">
        <f>360*E9</f>
        <v>76.69894424179802</v>
      </c>
      <c r="F10" s="47" t="s">
        <v>38</v>
      </c>
      <c r="G10" s="48">
        <f>E12+G3</f>
        <v>312</v>
      </c>
      <c r="H10" s="47" t="s">
        <v>39</v>
      </c>
      <c r="I10" s="48">
        <f>Input!B14*ASIN(0.004659/(1-0.0167*COS(RADIANS(C6))))</f>
        <v>0.004738033928879086</v>
      </c>
    </row>
    <row r="11" spans="2:9" ht="15" customHeight="1">
      <c r="B11" s="63" t="s">
        <v>40</v>
      </c>
      <c r="C11" s="54">
        <f>MOD(23.43929-(0.013*C3)+0.00256*COS(RADIANS(C9))+0.00016*COS(RADIANS(C10)),360)</f>
        <v>23.438106488975972</v>
      </c>
      <c r="D11" s="49" t="s">
        <v>41</v>
      </c>
      <c r="E11" s="50">
        <f>1+(E10-E4)/360-INT(1+(E10-E4)/360)</f>
        <v>0.4321818637586716</v>
      </c>
      <c r="F11" s="47" t="s">
        <v>42</v>
      </c>
      <c r="G11" s="48">
        <f>(G10-(INT(G10/360)*360))</f>
        <v>312</v>
      </c>
      <c r="H11" s="47" t="s">
        <v>43</v>
      </c>
      <c r="I11" s="90">
        <f>DEGREES(ATAN(I10/SQRT(1-POWER(I10,2))))</f>
        <v>0.27147036302582256</v>
      </c>
    </row>
    <row r="12" spans="2:9" ht="17.25" customHeight="1">
      <c r="B12" s="55" t="s">
        <v>44</v>
      </c>
      <c r="C12" s="56"/>
      <c r="D12" s="64" t="s">
        <v>45</v>
      </c>
      <c r="E12" s="65">
        <f>360*E11</f>
        <v>155.58547095312178</v>
      </c>
      <c r="F12" s="66"/>
      <c r="G12" s="67" t="str">
        <f>IF(SIGN(E6)=SIGN(G2),"SAME","CONTRARY")</f>
        <v>SAME</v>
      </c>
      <c r="H12" s="68" t="s">
        <v>46</v>
      </c>
      <c r="I12" s="48">
        <f>I5+I8+I9+I11</f>
        <v>46.5906123428366</v>
      </c>
    </row>
    <row r="13" spans="2:9" ht="13.5">
      <c r="B13" s="69" t="s">
        <v>47</v>
      </c>
      <c r="C13" s="70">
        <f>MOD(C6+(10185851+61912*C3+11*POWER(C3,2)+68928*SIN(RADIANS(C6-0.0018))+720*SIN(RADIANS(2*C6))-174*C3*SIN(RADIANS(C6))+72*SIN(RADIANS(C6-C8-90.5))+65*SIN(RADIANS(445267.1*C3-62.1))-64*SIN(RADIANS(20.2*C3+71.4))+55*SIN(RADIANS(2*C6-2*C5-58))-48*SIN(RADIANS(C6-C5-29))-27*SIN(RADIANS(2*C6-2*C8-3))-26*SIN(RADIANS(C8+7))-25*SIN(RADIANS(3*C6-2*C5-46))+20*SIN(RADIANS(2*C6-2*C7+74))-19*SIN(RADIANS(150*C3+28))+18*SIN(RADIANS(C6-2*C7-70))-16*SIN(RADIANS(C6-2*C8+20))-16*SIN(RADIANS(4*C6-3*C5-75))+10*SIN(RADIANS(3*C6))-10*SIN(RADIANS(5*C6-3*C5-48))-205-172*SIN(RADIANS(C9))-13*SIN(RADIANS(C10)))/36000,360)</f>
        <v>280.21665461723524</v>
      </c>
      <c r="G13" s="71"/>
      <c r="H13" s="68" t="s">
        <v>48</v>
      </c>
      <c r="I13" s="48">
        <f>I12-G6</f>
        <v>-0.08121209286044717</v>
      </c>
    </row>
    <row r="14" spans="2:9" ht="13.5">
      <c r="B14" s="72"/>
      <c r="C14" s="73"/>
      <c r="D14" s="74" t="s">
        <v>49</v>
      </c>
      <c r="E14" s="73" t="str">
        <f>CONCATENATE(INT(E12),"° ",FIXED((E12-INT(E12))*60,2),"' ")</f>
        <v>155° 35.13' </v>
      </c>
      <c r="F14" s="58"/>
      <c r="G14" s="71"/>
      <c r="H14" s="68" t="s">
        <v>50</v>
      </c>
      <c r="I14" s="91">
        <f>ABS(FIXED(I13*60,1))</f>
        <v>4.9</v>
      </c>
    </row>
    <row r="15" spans="2:9" ht="24.75" customHeight="1">
      <c r="B15" s="75"/>
      <c r="C15" s="75"/>
      <c r="D15" s="76" t="s">
        <v>51</v>
      </c>
      <c r="E15" s="77" t="str">
        <f>CONCATENATE(TRUNC(ABS(E6),0),"° ",ABS(FIXED((E6-TRUNC(E6,0))*60,1)),"' ",IF(E5&lt;0,"South","North"))</f>
        <v>23° 2.7' South</v>
      </c>
      <c r="G15" s="78"/>
      <c r="H15" s="79" t="s">
        <v>52</v>
      </c>
      <c r="I15" s="92" t="str">
        <f>IF(I13&lt;0,"Away","Towards")</f>
        <v>Away</v>
      </c>
    </row>
    <row r="16" spans="2:9" ht="24.75" customHeight="1">
      <c r="B16" s="80"/>
      <c r="C16" s="57"/>
      <c r="D16" s="76" t="s">
        <v>53</v>
      </c>
      <c r="E16" s="77" t="str">
        <f>IF(G11-INT(G11)=0,CONCATENATE(INT(G11),"° ","00.00","' "),CONCATENATE(INT(G11),"° ",FIXED((G11-INT(G11))*60,2),"' "))</f>
        <v>312° 00.00' </v>
      </c>
      <c r="H16" s="57"/>
      <c r="I16" s="57"/>
    </row>
    <row r="17" spans="2:8" ht="12.75">
      <c r="B17" s="57"/>
      <c r="C17" s="57"/>
      <c r="D17" s="76" t="s">
        <v>54</v>
      </c>
      <c r="E17" s="77" t="str">
        <f>CONCATENATE(IF(G6&lt;0,-ABS(INT(G6))+1,INT(G6)),"° ",IF(G6&gt;0,FIXED((G6-INT(G6))*60,2),FIXED(ABS(G6-IF(G6&lt;0,-ABS(INT(G6))+1,INT(G6)))*60,2)),"'")</f>
        <v>46° 40.31'</v>
      </c>
      <c r="H17" s="81"/>
    </row>
    <row r="18" spans="2:5" ht="18" customHeight="1">
      <c r="B18" s="57"/>
      <c r="C18" s="57"/>
      <c r="D18" s="82" t="s">
        <v>55</v>
      </c>
      <c r="E18" s="83" t="str">
        <f>CONCATENATE(IF(I12&lt;0,-ABS(INT(I12))+1,INT(I12)),"° ",IF(I12&gt;0,FIXED((I12-INT(I12))*60,2),FIXED(ABS(I12-IF(I12&lt;0,-ABS(INT(I12))+1,INT(I12)))*60,2)),"'")</f>
        <v>46° 35.44'</v>
      </c>
    </row>
    <row r="19" spans="2:10" ht="17.25" customHeight="1">
      <c r="B19" s="57"/>
      <c r="C19" s="84"/>
      <c r="F19" s="85"/>
      <c r="G19" s="57"/>
      <c r="H19" s="81"/>
      <c r="J19" s="93"/>
    </row>
    <row r="20" spans="2:6" ht="15.75" customHeight="1">
      <c r="B20" s="86"/>
      <c r="C20" s="84"/>
      <c r="F20" s="85"/>
    </row>
    <row r="21" spans="2:7" ht="17.25" customHeight="1">
      <c r="B21" s="86"/>
      <c r="C21" s="84"/>
      <c r="F21" s="85"/>
      <c r="G21" s="57"/>
    </row>
    <row r="22" spans="2:6" ht="17.25" customHeight="1">
      <c r="B22" s="86"/>
      <c r="C22" s="84"/>
      <c r="F22" s="87"/>
    </row>
    <row r="23" spans="2:7" ht="18" customHeight="1">
      <c r="B23" s="86"/>
      <c r="C23" s="84"/>
      <c r="F23" s="88"/>
      <c r="G23" s="87"/>
    </row>
    <row r="24" spans="2:12" ht="18" customHeight="1">
      <c r="B24" s="86"/>
      <c r="C24" s="84"/>
      <c r="D24" s="57"/>
      <c r="E24" s="88"/>
      <c r="F24" s="87"/>
      <c r="J24" s="57"/>
      <c r="K24" s="57"/>
      <c r="L24" s="57"/>
    </row>
    <row r="25" spans="2:6" ht="18" customHeight="1">
      <c r="B25" s="86"/>
      <c r="C25" s="84"/>
      <c r="D25" s="89"/>
      <c r="E25" s="57"/>
      <c r="F25" s="87"/>
    </row>
    <row r="26" spans="2:10" ht="18" customHeight="1">
      <c r="B26" s="86"/>
      <c r="C26" s="84"/>
      <c r="E26" s="57"/>
      <c r="F26" s="88"/>
      <c r="J26" s="57"/>
    </row>
    <row r="27" spans="5:6" ht="18" customHeight="1">
      <c r="E27" s="57"/>
      <c r="F27" s="88"/>
    </row>
    <row r="28" spans="5:6" ht="18" customHeight="1">
      <c r="E28" s="57"/>
      <c r="F28" s="87"/>
    </row>
    <row r="29" spans="4:6" ht="18" customHeight="1">
      <c r="D29" s="86"/>
      <c r="E29" s="84"/>
      <c r="F29" s="87"/>
    </row>
    <row r="30" spans="4:6" ht="12">
      <c r="D30" s="86"/>
      <c r="E30" s="84"/>
      <c r="F30" s="88"/>
    </row>
    <row r="31" spans="4:7" ht="12">
      <c r="D31" s="86"/>
      <c r="E31" s="84"/>
      <c r="F31" s="88"/>
      <c r="G31" s="57"/>
    </row>
    <row r="32" spans="4:6" ht="12">
      <c r="D32" s="86"/>
      <c r="E32" s="84"/>
      <c r="F32" s="87"/>
    </row>
    <row r="33" spans="4:6" ht="12">
      <c r="D33" s="86"/>
      <c r="E33" s="84"/>
      <c r="F33" s="87"/>
    </row>
    <row r="34" spans="4:6" ht="12">
      <c r="D34" s="86"/>
      <c r="E34" s="84"/>
      <c r="F34" s="88"/>
    </row>
    <row r="35" spans="4:7" ht="12">
      <c r="D35" s="86"/>
      <c r="E35" s="84"/>
      <c r="F35" s="88"/>
      <c r="G35" s="57"/>
    </row>
    <row r="36" spans="4:5" ht="12">
      <c r="D36" s="86"/>
      <c r="E36" s="84"/>
    </row>
    <row r="37" spans="4:5" ht="12">
      <c r="D37" s="86"/>
      <c r="E37" s="84"/>
    </row>
    <row r="38" spans="4:5" ht="12">
      <c r="D38" s="86"/>
      <c r="E38" s="84"/>
    </row>
    <row r="39" spans="4:5" ht="12">
      <c r="D39" s="86"/>
      <c r="E39" s="84"/>
    </row>
    <row r="40" spans="4:5" ht="12">
      <c r="D40" s="86"/>
      <c r="E40" s="84"/>
    </row>
    <row r="41" spans="4:5" ht="12">
      <c r="D41" s="86"/>
      <c r="E41" s="84"/>
    </row>
    <row r="42" spans="4:5" ht="12">
      <c r="D42" s="86"/>
      <c r="E42" s="84"/>
    </row>
  </sheetData>
  <sheetProtection password="CF2C" sheet="1" formatColumns="0" formatRows="0"/>
  <mergeCells count="6">
    <mergeCell ref="B1:C1"/>
    <mergeCell ref="D1:E1"/>
    <mergeCell ref="F1:G1"/>
    <mergeCell ref="H1:I1"/>
    <mergeCell ref="B4:C4"/>
    <mergeCell ref="B12:C12"/>
  </mergeCells>
  <conditionalFormatting sqref="G15">
    <cfRule type="expression" priority="2" dxfId="0" stopIfTrue="1">
      <formula>$G$6&lt;0</formula>
    </cfRule>
  </conditionalFormatting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B13" sqref="B13"/>
    </sheetView>
  </sheetViews>
  <sheetFormatPr defaultColWidth="8.7109375" defaultRowHeight="16.5" customHeight="1"/>
  <cols>
    <col min="1" max="1" width="24.57421875" style="1" customWidth="1"/>
    <col min="2" max="2" width="22.140625" style="2" customWidth="1"/>
    <col min="3" max="3" width="28.00390625" style="2" customWidth="1"/>
    <col min="4" max="16384" width="9.140625" style="3" bestFit="1" customWidth="1"/>
  </cols>
  <sheetData>
    <row r="1" spans="1:3" ht="16.5" customHeight="1">
      <c r="A1" s="4">
        <v>41642</v>
      </c>
      <c r="B1" s="5">
        <v>44926</v>
      </c>
      <c r="C1" s="6" t="s">
        <v>56</v>
      </c>
    </row>
    <row r="2" spans="1:3" ht="16.5" customHeight="1">
      <c r="A2" s="7" t="s">
        <v>57</v>
      </c>
      <c r="B2" s="8">
        <v>22</v>
      </c>
      <c r="C2" s="9" t="s">
        <v>58</v>
      </c>
    </row>
    <row r="3" spans="1:3" ht="16.5" customHeight="1">
      <c r="A3" s="7" t="s">
        <v>59</v>
      </c>
      <c r="B3" s="10">
        <v>25</v>
      </c>
      <c r="C3" s="9"/>
    </row>
    <row r="4" spans="1:3" ht="16.5" customHeight="1">
      <c r="A4" s="7" t="s">
        <v>60</v>
      </c>
      <c r="B4" s="11">
        <v>30</v>
      </c>
      <c r="C4" s="12"/>
    </row>
    <row r="5" spans="1:3" ht="16.5" customHeight="1">
      <c r="A5" s="13" t="s">
        <v>61</v>
      </c>
      <c r="B5" s="14" t="str">
        <f>Calcs!E14</f>
        <v>155° 35.13' </v>
      </c>
      <c r="C5" s="15"/>
    </row>
    <row r="6" spans="1:3" ht="16.5" customHeight="1">
      <c r="A6" s="13" t="s">
        <v>62</v>
      </c>
      <c r="B6" s="14" t="str">
        <f>Calcs!E15</f>
        <v>23° 2.7' South</v>
      </c>
      <c r="C6" s="15" t="str">
        <f>Calcs!G12</f>
        <v>SAME</v>
      </c>
    </row>
    <row r="7" spans="1:3" ht="16.5" customHeight="1">
      <c r="A7" s="16" t="s">
        <v>63</v>
      </c>
      <c r="B7" s="17" t="s">
        <v>64</v>
      </c>
      <c r="C7" s="9" t="s">
        <v>65</v>
      </c>
    </row>
    <row r="8" spans="1:3" ht="16.5" customHeight="1">
      <c r="A8" s="16" t="s">
        <v>66</v>
      </c>
      <c r="B8" s="18" t="s">
        <v>67</v>
      </c>
      <c r="C8" s="9" t="s">
        <v>68</v>
      </c>
    </row>
    <row r="9" spans="1:3" ht="16.5" customHeight="1">
      <c r="A9" s="19" t="s">
        <v>69</v>
      </c>
      <c r="B9" s="20">
        <f>Calcs!G4*60</f>
        <v>24.8717428126929</v>
      </c>
      <c r="C9" s="21" t="s">
        <v>70</v>
      </c>
    </row>
    <row r="10" spans="1:3" ht="16.5" customHeight="1">
      <c r="A10" s="22" t="s">
        <v>71</v>
      </c>
      <c r="B10" s="23" t="str">
        <f>Calcs!E16</f>
        <v>312° 00.00' </v>
      </c>
      <c r="C10" s="24"/>
    </row>
    <row r="11" spans="1:3" ht="16.5" customHeight="1">
      <c r="A11" s="16" t="s">
        <v>72</v>
      </c>
      <c r="B11" s="25">
        <v>46</v>
      </c>
      <c r="C11" s="9" t="s">
        <v>73</v>
      </c>
    </row>
    <row r="12" spans="1:3" ht="16.5" customHeight="1">
      <c r="A12" s="16" t="s">
        <v>74</v>
      </c>
      <c r="B12" s="26">
        <v>23</v>
      </c>
      <c r="C12" s="9" t="s">
        <v>75</v>
      </c>
    </row>
    <row r="13" spans="1:3" ht="16.5" customHeight="1">
      <c r="A13" s="16" t="s">
        <v>76</v>
      </c>
      <c r="B13" s="26">
        <v>0</v>
      </c>
      <c r="C13" s="94" t="s">
        <v>77</v>
      </c>
    </row>
    <row r="14" spans="1:3" ht="16.5" customHeight="1">
      <c r="A14" s="16" t="s">
        <v>78</v>
      </c>
      <c r="B14" s="28">
        <v>1</v>
      </c>
      <c r="C14" s="9" t="s">
        <v>79</v>
      </c>
    </row>
    <row r="15" spans="1:3" ht="16.5" customHeight="1">
      <c r="A15" s="7" t="s">
        <v>80</v>
      </c>
      <c r="B15" s="26">
        <v>3</v>
      </c>
      <c r="C15" s="9" t="s">
        <v>81</v>
      </c>
    </row>
    <row r="16" spans="1:3" ht="16.5" customHeight="1">
      <c r="A16" s="7" t="s">
        <v>82</v>
      </c>
      <c r="B16" s="10">
        <v>26</v>
      </c>
      <c r="C16" s="9" t="s">
        <v>83</v>
      </c>
    </row>
    <row r="17" spans="1:3" ht="16.5" customHeight="1">
      <c r="A17" s="7" t="s">
        <v>84</v>
      </c>
      <c r="B17" s="11">
        <v>1012</v>
      </c>
      <c r="C17" s="9" t="s">
        <v>85</v>
      </c>
    </row>
    <row r="18" spans="1:3" ht="16.5" customHeight="1">
      <c r="A18" s="13" t="s">
        <v>86</v>
      </c>
      <c r="B18" s="29" t="str">
        <f>Calcs!E17</f>
        <v>46° 40.31'</v>
      </c>
      <c r="C18" s="15"/>
    </row>
    <row r="19" spans="1:3" ht="16.5" customHeight="1">
      <c r="A19" s="13" t="s">
        <v>87</v>
      </c>
      <c r="B19" s="30" t="str">
        <f>Calcs!E18</f>
        <v>46° 35.44'</v>
      </c>
      <c r="C19" s="15" t="str">
        <f>IF(Calcs!G6&gt;Calcs!I12,"Hc &gt; Ho = Away",IF(Calcs!G6&lt;Calcs!I12,"Hc &lt; Ho = Towards","Hc=Ho . . . Unlikely"))</f>
        <v>Hc &gt; Ho = Away</v>
      </c>
    </row>
    <row r="20" spans="1:5" ht="17.25" customHeight="1">
      <c r="A20" s="31" t="s">
        <v>88</v>
      </c>
      <c r="B20" s="32" t="str">
        <f>CONCATENATE(FIXED(Calcs!G9,1),"° ")</f>
        <v>94.7° </v>
      </c>
      <c r="C20" s="95" t="s">
        <v>89</v>
      </c>
      <c r="D20" s="34"/>
      <c r="E20" s="35"/>
    </row>
    <row r="21" spans="1:5" ht="17.25" customHeight="1">
      <c r="A21" s="36" t="s">
        <v>90</v>
      </c>
      <c r="B21" s="37" t="str">
        <f>CONCATENATE(Calcs!I14," Miles ")</f>
        <v>4.9 Miles </v>
      </c>
      <c r="C21" s="38" t="str">
        <f>Calcs!I15</f>
        <v>Away</v>
      </c>
      <c r="D21" s="39"/>
      <c r="E21" s="39"/>
    </row>
    <row r="22" spans="1:2" ht="16.5" customHeight="1">
      <c r="A22" s="40" t="s">
        <v>91</v>
      </c>
      <c r="B22" s="41" t="s">
        <v>92</v>
      </c>
    </row>
    <row r="23" ht="16.5" customHeight="1">
      <c r="F23" s="42"/>
    </row>
  </sheetData>
  <sheetProtection password="CF2C" sheet="1" formatColumns="0" formatRows="0" selectLockedCells="1"/>
  <conditionalFormatting sqref="B7">
    <cfRule type="expression" priority="1" dxfId="1" stopIfTrue="1">
      <formula>NOT(ISERROR(SEARCH("S",B7)))</formula>
    </cfRule>
    <cfRule type="expression" priority="2" dxfId="1" stopIfTrue="1">
      <formula>NOT(ISERROR(SEARCH("N",B7)))</formula>
    </cfRule>
  </conditionalFormatting>
  <conditionalFormatting sqref="B8">
    <cfRule type="expression" priority="3" dxfId="1" stopIfTrue="1">
      <formula>NOT(ISERROR(SEARCH("W",B8)))</formula>
    </cfRule>
    <cfRule type="expression" priority="4" dxfId="1" stopIfTrue="1">
      <formula>NOT(ISERROR(SEARCH("E",B8)))</formula>
    </cfRule>
  </conditionalFormatting>
  <hyperlinks>
    <hyperlink ref="B22" r:id="rId1" display="www.backbearing.com"/>
  </hyperlinks>
  <printOptions/>
  <pageMargins left="0.7" right="0.7" top="0.75" bottom="0.75" header="0.3" footer="0.3"/>
  <pageSetup horizontalDpi="600" verticalDpi="600" orientation="portrait" paperSize="9"/>
  <ignoredErrors>
    <ignoredError sqref="B9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1093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Smith</dc:creator>
  <cp:keywords>Unclassified::</cp:keywords>
  <dc:description/>
  <cp:lastModifiedBy>antho</cp:lastModifiedBy>
  <cp:lastPrinted>2005-04-22T12:13:36Z</cp:lastPrinted>
  <dcterms:created xsi:type="dcterms:W3CDTF">2003-08-15T16:21:15Z</dcterms:created>
  <dcterms:modified xsi:type="dcterms:W3CDTF">2023-01-24T14:02:01Z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docIndexR">
    <vt:lpwstr>5c1c085a-2461-41b0-bee2-5d0ae21d6768</vt:lpwstr>
  </property>
  <property fmtid="{D5CDD505-2E9C-101B-9397-08002B2CF9AE}" pid="4" name="bjDocumentLabelX">
    <vt:lpwstr>&lt;?xml version="1.0"?&gt;&lt;sisl xmlns:xsi="http://www.w3.org/2001/XMLSchema-instance" xmlns:xsd="http://www.w3.org/2001/XMLSchema" sislVersion="0" policy="b5b2165e-8acf-48b8-a935-01f1f90977f0" xmlns="http://www.boldonjames.com/2008/01/sie/internal/label"&gt;  &lt;el</vt:lpwstr>
  </property>
  <property fmtid="{D5CDD505-2E9C-101B-9397-08002B2CF9AE}" pid="5" name="bjDocumentLabelXML">
    <vt:lpwstr>ement uid="id_classification_businessvalue" value="" /&gt;&lt;/sisl&gt;</vt:lpwstr>
  </property>
  <property fmtid="{D5CDD505-2E9C-101B-9397-08002B2CF9AE}" pid="6" name="bjDocumentSecurityLab">
    <vt:lpwstr>Unclassified</vt:lpwstr>
  </property>
  <property fmtid="{D5CDD505-2E9C-101B-9397-08002B2CF9AE}" pid="7" name="I">
    <vt:lpwstr>B80E1F4254494644A664A6A2EA1A792B</vt:lpwstr>
  </property>
  <property fmtid="{D5CDD505-2E9C-101B-9397-08002B2CF9AE}" pid="8" name="KSOProductBuildV">
    <vt:lpwstr>2057-11.2.0.11440</vt:lpwstr>
  </property>
</Properties>
</file>